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<sst xmlns="http://schemas.openxmlformats.org/spreadsheetml/2006/main" count="1722" uniqueCount="323">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</sst>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319</v>
      </c>
      <c r="N3" s="242" t="s">
        <v>320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315</v>
      </c>
      <c r="F4" s="244" t="s">
        <v>116</v>
      </c>
      <c r="G4" s="246" t="s">
        <v>316</v>
      </c>
      <c r="H4" s="248" t="s">
        <v>317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322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318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562486.9800000001</v>
      </c>
      <c r="G8" s="18">
        <f aca="true" t="shared" si="0" ref="G8:G54">F8-E8</f>
        <v>21843.410000000033</v>
      </c>
      <c r="H8" s="45">
        <f>F8/E8*100</f>
        <v>104.04026075811834</v>
      </c>
      <c r="I8" s="31">
        <f aca="true" t="shared" si="1" ref="I8:I54">F8-D8</f>
        <v>-9802.019999999902</v>
      </c>
      <c r="J8" s="31">
        <f aca="true" t="shared" si="2" ref="J8:J14">F8/D8*100</f>
        <v>98.28722551018805</v>
      </c>
      <c r="K8" s="18">
        <f>K9+K15+K18+K19+K20+K32</f>
        <v>116463.02600000003</v>
      </c>
      <c r="L8" s="18"/>
      <c r="M8" s="18">
        <f>M9+M15+M18+M19+M20+M32+M17</f>
        <v>37118.100000000006</v>
      </c>
      <c r="N8" s="18">
        <f>N9+N15+N18+N19+N20+N32+N17</f>
        <v>19900.750000000033</v>
      </c>
      <c r="O8" s="31">
        <f aca="true" t="shared" si="3" ref="O8:O54">N8-M8</f>
        <v>-17217.349999999973</v>
      </c>
      <c r="P8" s="31">
        <f>F8/M8*100</f>
        <v>1515.3980941912437</v>
      </c>
      <c r="Q8" s="31">
        <f>N8-33748.16</f>
        <v>-13847.40999999997</v>
      </c>
      <c r="R8" s="125">
        <f>N8/33748.16</f>
        <v>0.5896840005499568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307640.27</v>
      </c>
      <c r="G9" s="43">
        <f t="shared" si="0"/>
        <v>17673.150000000023</v>
      </c>
      <c r="H9" s="35">
        <f aca="true" t="shared" si="4" ref="H9:H38">F9/E9*100</f>
        <v>106.09488068854151</v>
      </c>
      <c r="I9" s="50">
        <f t="shared" si="1"/>
        <v>-5049.729999999981</v>
      </c>
      <c r="J9" s="50">
        <f t="shared" si="2"/>
        <v>98.38506827848668</v>
      </c>
      <c r="K9" s="132">
        <f>F9-349197.38/75*60</f>
        <v>28282.36600000004</v>
      </c>
      <c r="L9" s="132">
        <f>F9/(349197.38/75*60)*100</f>
        <v>110.12406149782683</v>
      </c>
      <c r="M9" s="35">
        <f>E9-жовтень!E9</f>
        <v>20102</v>
      </c>
      <c r="N9" s="35">
        <f>F9-жовтень!F9</f>
        <v>11364.940000000002</v>
      </c>
      <c r="O9" s="47">
        <f t="shared" si="3"/>
        <v>-8737.059999999998</v>
      </c>
      <c r="P9" s="50">
        <f aca="true" t="shared" si="5" ref="P9:P32">N9/M9*100</f>
        <v>56.536364540841724</v>
      </c>
      <c r="Q9" s="132">
        <f>N9-26568.11</f>
        <v>-15203.169999999998</v>
      </c>
      <c r="R9" s="133">
        <f>N9/26568.11</f>
        <v>0.42776622048011703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273231.94</v>
      </c>
      <c r="G10" s="135">
        <f t="shared" si="0"/>
        <v>20871.119999999995</v>
      </c>
      <c r="H10" s="137">
        <f t="shared" si="4"/>
        <v>108.27034878076557</v>
      </c>
      <c r="I10" s="136">
        <f t="shared" si="1"/>
        <v>32821.94</v>
      </c>
      <c r="J10" s="136">
        <f t="shared" si="2"/>
        <v>113.65248533754834</v>
      </c>
      <c r="K10" s="138">
        <f>F10-310040.1/75*60</f>
        <v>25199.860000000044</v>
      </c>
      <c r="L10" s="138">
        <f>F10/(310040.1/75*60)*100</f>
        <v>110.1599196362019</v>
      </c>
      <c r="M10" s="137">
        <f>E10-жовтень!E10</f>
        <v>16400</v>
      </c>
      <c r="N10" s="137">
        <f>F10-жовтень!F10</f>
        <v>10596.659999999974</v>
      </c>
      <c r="O10" s="138">
        <f t="shared" si="3"/>
        <v>-5803.340000000026</v>
      </c>
      <c r="P10" s="136">
        <f t="shared" si="5"/>
        <v>64.61378048780472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15883.18</v>
      </c>
      <c r="G11" s="135">
        <f t="shared" si="0"/>
        <v>-5086.720000000001</v>
      </c>
      <c r="H11" s="137">
        <f t="shared" si="4"/>
        <v>75.74275509182209</v>
      </c>
      <c r="I11" s="136">
        <f t="shared" si="1"/>
        <v>-7816.82</v>
      </c>
      <c r="J11" s="136">
        <f t="shared" si="2"/>
        <v>67.01763713080169</v>
      </c>
      <c r="K11" s="138">
        <f>F11-24192.03/75*60</f>
        <v>-3470.443999999996</v>
      </c>
      <c r="L11" s="138">
        <f>F11/(24192.03/75*60)*100</f>
        <v>82.06824726986535</v>
      </c>
      <c r="M11" s="137">
        <f>E11-жовтень!E11</f>
        <v>2052</v>
      </c>
      <c r="N11" s="137">
        <f>F11-жовтень!F11</f>
        <v>74.13999999999942</v>
      </c>
      <c r="O11" s="138">
        <f t="shared" si="3"/>
        <v>-1977.8600000000006</v>
      </c>
      <c r="P11" s="136">
        <f t="shared" si="5"/>
        <v>3.613060428849874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4295.27</v>
      </c>
      <c r="G12" s="135">
        <f t="shared" si="0"/>
        <v>-573.7299999999996</v>
      </c>
      <c r="H12" s="137">
        <f t="shared" si="4"/>
        <v>88.21667693571577</v>
      </c>
      <c r="I12" s="136">
        <f t="shared" si="1"/>
        <v>-1504.7299999999996</v>
      </c>
      <c r="J12" s="136">
        <f t="shared" si="2"/>
        <v>74.05637931034484</v>
      </c>
      <c r="K12" s="138">
        <f>F12-6123.95/75*60</f>
        <v>-603.8899999999994</v>
      </c>
      <c r="L12" s="138">
        <f>F12/(6123.95*60)*100</f>
        <v>1.1689813491836696</v>
      </c>
      <c r="M12" s="137">
        <f>E12-жовтень!E12</f>
        <v>420</v>
      </c>
      <c r="N12" s="137">
        <f>F12-жовтень!F12</f>
        <v>126.13000000000011</v>
      </c>
      <c r="O12" s="138">
        <f t="shared" si="3"/>
        <v>-293.8699999999999</v>
      </c>
      <c r="P12" s="136">
        <f t="shared" si="5"/>
        <v>30.030952380952407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6351.35</v>
      </c>
      <c r="G13" s="135">
        <f t="shared" si="0"/>
        <v>-1432.0499999999993</v>
      </c>
      <c r="H13" s="137">
        <f t="shared" si="4"/>
        <v>81.60122825500424</v>
      </c>
      <c r="I13" s="136">
        <f t="shared" si="1"/>
        <v>-2048.6499999999996</v>
      </c>
      <c r="J13" s="136">
        <f t="shared" si="2"/>
        <v>75.61130952380954</v>
      </c>
      <c r="K13" s="138">
        <f>F13-8694.58/75*60</f>
        <v>-604.3139999999994</v>
      </c>
      <c r="L13" s="138">
        <f>F13/(8694.58/75*60)*100</f>
        <v>91.31191500912064</v>
      </c>
      <c r="M13" s="137">
        <f>E13-жовтень!E13</f>
        <v>840</v>
      </c>
      <c r="N13" s="137">
        <f>F13-жовтень!F13</f>
        <v>252.48000000000047</v>
      </c>
      <c r="O13" s="138">
        <f t="shared" si="3"/>
        <v>-587.5199999999995</v>
      </c>
      <c r="P13" s="136">
        <f t="shared" si="5"/>
        <v>30.057142857142914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7878.52</v>
      </c>
      <c r="G14" s="135">
        <f t="shared" si="0"/>
        <v>3894.5200000000004</v>
      </c>
      <c r="H14" s="137">
        <f t="shared" si="4"/>
        <v>197.75401606425703</v>
      </c>
      <c r="I14" s="136">
        <f t="shared" si="1"/>
        <v>3498.5200000000004</v>
      </c>
      <c r="J14" s="136">
        <f t="shared" si="2"/>
        <v>179.87488584474886</v>
      </c>
      <c r="K14" s="138">
        <f>F14-146.72/75*60</f>
        <v>7761.144</v>
      </c>
      <c r="L14" s="138">
        <f>F14/(146.72/75*60)*100</f>
        <v>6712.206924754635</v>
      </c>
      <c r="M14" s="137">
        <f>E14-жовтень!E14</f>
        <v>390</v>
      </c>
      <c r="N14" s="137">
        <f>F14-жовтень!F14</f>
        <v>315.5500000000002</v>
      </c>
      <c r="O14" s="138">
        <f t="shared" si="3"/>
        <v>-74.44999999999982</v>
      </c>
      <c r="P14" s="136">
        <f t="shared" si="5"/>
        <v>80.91025641025645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-545.81</v>
      </c>
      <c r="G15" s="43">
        <f t="shared" si="0"/>
        <v>-717.2099999999999</v>
      </c>
      <c r="H15" s="35"/>
      <c r="I15" s="50">
        <f t="shared" si="1"/>
        <v>-545.81</v>
      </c>
      <c r="J15" s="50" t="e">
        <f>F15/D15*100</f>
        <v>#DIV/0!</v>
      </c>
      <c r="K15" s="53">
        <f>F15-(-1352.56)</f>
        <v>806.75</v>
      </c>
      <c r="L15" s="53">
        <f>F15/(-1352.56)*100</f>
        <v>40.353847518779205</v>
      </c>
      <c r="M15" s="35">
        <f>E15-жовтень!E15</f>
        <v>0</v>
      </c>
      <c r="N15" s="35">
        <f>F15-жовтень!F15</f>
        <v>45.06000000000006</v>
      </c>
      <c r="O15" s="47">
        <f t="shared" si="3"/>
        <v>45.06000000000006</v>
      </c>
      <c r="P15" s="50"/>
      <c r="Q15" s="50">
        <f>N15-358.81</f>
        <v>-313.74999999999994</v>
      </c>
      <c r="R15" s="126">
        <f>N15/358.81</f>
        <v>0.1255817842312089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58601.39</v>
      </c>
      <c r="G19" s="43">
        <f t="shared" si="0"/>
        <v>-3061.3600000000006</v>
      </c>
      <c r="H19" s="35">
        <f t="shared" si="4"/>
        <v>95.03531710797847</v>
      </c>
      <c r="I19" s="50">
        <f t="shared" si="1"/>
        <v>-3608.6100000000006</v>
      </c>
      <c r="J19" s="178">
        <f>F19/D19*100</f>
        <v>94.19930879279859</v>
      </c>
      <c r="K19" s="179">
        <f>F19-0</f>
        <v>58601.39</v>
      </c>
      <c r="L19" s="180"/>
      <c r="M19" s="35">
        <f>E19-жовтень!E19</f>
        <v>4140</v>
      </c>
      <c r="N19" s="35">
        <f>F19-жовтень!F19</f>
        <v>116.33999999999651</v>
      </c>
      <c r="O19" s="47">
        <f t="shared" si="3"/>
        <v>-4023.6600000000035</v>
      </c>
      <c r="P19" s="50">
        <f t="shared" si="5"/>
        <v>2.810144927536147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191093.38</v>
      </c>
      <c r="G20" s="43">
        <f t="shared" si="0"/>
        <v>9769.880000000005</v>
      </c>
      <c r="H20" s="35">
        <f t="shared" si="4"/>
        <v>105.38809365581405</v>
      </c>
      <c r="I20" s="50">
        <f t="shared" si="1"/>
        <v>1223.3800000000047</v>
      </c>
      <c r="J20" s="178">
        <f aca="true" t="shared" si="6" ref="J20:J46">F20/D20*100</f>
        <v>100.64432506451783</v>
      </c>
      <c r="K20" s="178">
        <f>K21+K25+K26+K27</f>
        <v>30485.23</v>
      </c>
      <c r="L20" s="136"/>
      <c r="M20" s="35">
        <f>E20-жовтень!E20</f>
        <v>11129.600000000006</v>
      </c>
      <c r="N20" s="35">
        <f>F20-жовтень!F20</f>
        <v>8278.350000000035</v>
      </c>
      <c r="O20" s="47">
        <f t="shared" si="3"/>
        <v>-2851.249999999971</v>
      </c>
      <c r="P20" s="50">
        <f t="shared" si="5"/>
        <v>74.38137938470413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101741.01000000001</v>
      </c>
      <c r="G21" s="43">
        <f t="shared" si="0"/>
        <v>-2773.9899999999907</v>
      </c>
      <c r="H21" s="35">
        <f t="shared" si="4"/>
        <v>97.34584509400565</v>
      </c>
      <c r="I21" s="50">
        <f t="shared" si="1"/>
        <v>-8558.98999999999</v>
      </c>
      <c r="J21" s="178">
        <f t="shared" si="6"/>
        <v>92.24026291931098</v>
      </c>
      <c r="K21" s="178">
        <f>K22+K23+K24</f>
        <v>26288.270000000004</v>
      </c>
      <c r="L21" s="136"/>
      <c r="M21" s="35">
        <f>E21-жовтень!E21</f>
        <v>8232.600000000006</v>
      </c>
      <c r="N21" s="35">
        <f>F21-жовтень!F21</f>
        <v>966.2200000000157</v>
      </c>
      <c r="O21" s="47">
        <f t="shared" si="3"/>
        <v>-7266.37999999999</v>
      </c>
      <c r="P21" s="50">
        <f t="shared" si="5"/>
        <v>11.736510944294816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12596.48</v>
      </c>
      <c r="G22" s="135">
        <f t="shared" si="0"/>
        <v>1896.4799999999996</v>
      </c>
      <c r="H22" s="137">
        <f t="shared" si="4"/>
        <v>117.72411214953271</v>
      </c>
      <c r="I22" s="136">
        <f t="shared" si="1"/>
        <v>1896.4799999999996</v>
      </c>
      <c r="J22" s="136">
        <f t="shared" si="6"/>
        <v>117.72411214953271</v>
      </c>
      <c r="K22" s="136">
        <f>F22-454.97</f>
        <v>12141.51</v>
      </c>
      <c r="L22" s="136">
        <f>F22/454.97*100</f>
        <v>2768.6396905290453</v>
      </c>
      <c r="M22" s="137">
        <f>E22-жовтень!E22</f>
        <v>54.600000000000364</v>
      </c>
      <c r="N22" s="137">
        <f>F22-жовтень!F22</f>
        <v>110.35000000000036</v>
      </c>
      <c r="O22" s="138">
        <f t="shared" si="3"/>
        <v>55.75</v>
      </c>
      <c r="P22" s="136">
        <f t="shared" si="5"/>
        <v>202.10622710622644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3553.96</v>
      </c>
      <c r="G23" s="135">
        <f t="shared" si="0"/>
        <v>1453.96</v>
      </c>
      <c r="H23" s="137">
        <f t="shared" si="4"/>
        <v>169.23619047619047</v>
      </c>
      <c r="I23" s="136">
        <f t="shared" si="1"/>
        <v>1453.96</v>
      </c>
      <c r="J23" s="136">
        <f t="shared" si="6"/>
        <v>169.23619047619047</v>
      </c>
      <c r="K23" s="136">
        <f>F23-0</f>
        <v>3553.96</v>
      </c>
      <c r="L23" s="136"/>
      <c r="M23" s="137">
        <f>E23-жовтень!E23</f>
        <v>8</v>
      </c>
      <c r="N23" s="137">
        <f>F23-жовтень!F23</f>
        <v>60</v>
      </c>
      <c r="O23" s="138">
        <f t="shared" si="3"/>
        <v>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85590.57</v>
      </c>
      <c r="G24" s="135">
        <f t="shared" si="0"/>
        <v>-6124.429999999993</v>
      </c>
      <c r="H24" s="137">
        <f t="shared" si="4"/>
        <v>93.3223245924876</v>
      </c>
      <c r="I24" s="136">
        <f t="shared" si="1"/>
        <v>-11909.429999999993</v>
      </c>
      <c r="J24" s="136">
        <f t="shared" si="6"/>
        <v>87.7852</v>
      </c>
      <c r="K24" s="224">
        <f>F24-74997.77</f>
        <v>10592.800000000003</v>
      </c>
      <c r="L24" s="224">
        <f>F24/74997.77*100</f>
        <v>114.1241532914912</v>
      </c>
      <c r="M24" s="137">
        <f>E24-жовтень!E24</f>
        <v>8170</v>
      </c>
      <c r="N24" s="137">
        <f>F24-жовтень!F24</f>
        <v>795.8700000000099</v>
      </c>
      <c r="O24" s="138">
        <f t="shared" si="3"/>
        <v>-7374.12999999999</v>
      </c>
      <c r="P24" s="136">
        <f t="shared" si="5"/>
        <v>9.741370869033169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66.56</v>
      </c>
      <c r="G25" s="43">
        <f t="shared" si="0"/>
        <v>3.0600000000000023</v>
      </c>
      <c r="H25" s="35">
        <f t="shared" si="4"/>
        <v>104.81889763779529</v>
      </c>
      <c r="I25" s="50">
        <f t="shared" si="1"/>
        <v>-3.4399999999999977</v>
      </c>
      <c r="J25" s="178">
        <f t="shared" si="6"/>
        <v>95.08571428571429</v>
      </c>
      <c r="K25" s="178">
        <f>F25-65.36</f>
        <v>1.2000000000000028</v>
      </c>
      <c r="L25" s="178">
        <f>F25/65.36*100</f>
        <v>101.8359853121175</v>
      </c>
      <c r="M25" s="35">
        <f>E25-жовтень!E25</f>
        <v>12</v>
      </c>
      <c r="N25" s="35">
        <f>F25-жовтень!F25</f>
        <v>5.920000000000002</v>
      </c>
      <c r="O25" s="47">
        <f t="shared" si="3"/>
        <v>-6.079999999999998</v>
      </c>
      <c r="P25" s="50">
        <f t="shared" si="5"/>
        <v>49.33333333333334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-740.39</v>
      </c>
      <c r="G26" s="43">
        <f t="shared" si="0"/>
        <v>-740.39</v>
      </c>
      <c r="H26" s="35"/>
      <c r="I26" s="50">
        <f t="shared" si="1"/>
        <v>-740.39</v>
      </c>
      <c r="J26" s="136"/>
      <c r="K26" s="178">
        <f>F26-5772.25</f>
        <v>-6512.64</v>
      </c>
      <c r="L26" s="178">
        <f>F26/5772.25*100</f>
        <v>-12.826714019663044</v>
      </c>
      <c r="M26" s="35">
        <f>E26-жовтень!E26</f>
        <v>0</v>
      </c>
      <c r="N26" s="35">
        <f>F26-жовтень!F26</f>
        <v>0.5500000000000682</v>
      </c>
      <c r="O26" s="47">
        <f t="shared" si="3"/>
        <v>0.5500000000000682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90026.2</v>
      </c>
      <c r="G27" s="43">
        <f t="shared" si="0"/>
        <v>13281.199999999997</v>
      </c>
      <c r="H27" s="35">
        <f t="shared" si="4"/>
        <v>117.30562251612481</v>
      </c>
      <c r="I27" s="50">
        <f t="shared" si="1"/>
        <v>10526.199999999997</v>
      </c>
      <c r="J27" s="178">
        <f t="shared" si="6"/>
        <v>113.24050314465408</v>
      </c>
      <c r="K27" s="132">
        <f>F27-79317.8</f>
        <v>10708.399999999994</v>
      </c>
      <c r="L27" s="132">
        <f>F27/79317.8*100</f>
        <v>113.50062659327413</v>
      </c>
      <c r="M27" s="35">
        <f>E27-жовтень!E27</f>
        <v>2885</v>
      </c>
      <c r="N27" s="35">
        <f>F27-жовтень!F27</f>
        <v>7305.6600000000035</v>
      </c>
      <c r="O27" s="47">
        <f t="shared" si="3"/>
        <v>4420.6600000000035</v>
      </c>
      <c r="P27" s="50">
        <f t="shared" si="5"/>
        <v>253.22911611785108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21513.15</v>
      </c>
      <c r="G29" s="135">
        <f t="shared" si="0"/>
        <v>2703.1500000000015</v>
      </c>
      <c r="H29" s="137">
        <f t="shared" si="4"/>
        <v>114.3708133971292</v>
      </c>
      <c r="I29" s="136">
        <f t="shared" si="1"/>
        <v>2313.1500000000015</v>
      </c>
      <c r="J29" s="136">
        <f t="shared" si="6"/>
        <v>112.04765625000002</v>
      </c>
      <c r="K29" s="139">
        <f>F29-22211.27</f>
        <v>-698.119999999999</v>
      </c>
      <c r="L29" s="139">
        <f>F29/22211.27*100</f>
        <v>96.85691092855114</v>
      </c>
      <c r="M29" s="137">
        <f>E29-жовтень!E29</f>
        <v>730</v>
      </c>
      <c r="N29" s="137">
        <f>F29-жовтень!F29</f>
        <v>1549.8199999999997</v>
      </c>
      <c r="O29" s="138">
        <f t="shared" si="3"/>
        <v>819.8199999999997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68485.34</v>
      </c>
      <c r="G30" s="135">
        <f t="shared" si="0"/>
        <v>10550.339999999997</v>
      </c>
      <c r="H30" s="137">
        <f t="shared" si="4"/>
        <v>118.21064986622937</v>
      </c>
      <c r="I30" s="136">
        <f t="shared" si="1"/>
        <v>8185.3399999999965</v>
      </c>
      <c r="J30" s="136">
        <f t="shared" si="6"/>
        <v>113.57436152570482</v>
      </c>
      <c r="K30" s="139">
        <f>F30-57105.32</f>
        <v>11380.019999999997</v>
      </c>
      <c r="L30" s="139">
        <f>F30/57105.32*100</f>
        <v>119.9281257858287</v>
      </c>
      <c r="M30" s="137">
        <f>E30-жовтень!E30</f>
        <v>2155</v>
      </c>
      <c r="N30" s="137">
        <f>F30-жовтень!F30</f>
        <v>5755.8499999999985</v>
      </c>
      <c r="O30" s="138">
        <f t="shared" si="3"/>
        <v>3600.8499999999985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5590.21</v>
      </c>
      <c r="G32" s="43">
        <f t="shared" si="0"/>
        <v>-1909.5900000000001</v>
      </c>
      <c r="H32" s="35">
        <f t="shared" si="4"/>
        <v>74.53812101656044</v>
      </c>
      <c r="I32" s="50">
        <f t="shared" si="1"/>
        <v>-1909.79</v>
      </c>
      <c r="J32" s="178">
        <f t="shared" si="6"/>
        <v>74.53613333333334</v>
      </c>
      <c r="K32" s="178">
        <f>F32-7378.96</f>
        <v>-1788.75</v>
      </c>
      <c r="L32" s="178">
        <f>F32/7378.96*100</f>
        <v>75.75877901492893</v>
      </c>
      <c r="M32" s="35">
        <f>E32-жовтень!E32</f>
        <v>1740.5</v>
      </c>
      <c r="N32" s="35">
        <f>F32-жовтень!F32</f>
        <v>4.460000000000036</v>
      </c>
      <c r="O32" s="47">
        <f t="shared" si="3"/>
        <v>-1736.04</v>
      </c>
      <c r="P32" s="50">
        <f t="shared" si="5"/>
        <v>0.2562482045389277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F34+F35+F36+F37+F38+F41+F42+F47+F48+F52+F40+F39+F51</f>
        <v>40884.5</v>
      </c>
      <c r="G33" s="44">
        <f t="shared" si="0"/>
        <v>6639.93</v>
      </c>
      <c r="H33" s="45">
        <f t="shared" si="4"/>
        <v>119.38973098508757</v>
      </c>
      <c r="I33" s="31">
        <f t="shared" si="1"/>
        <v>5244.93</v>
      </c>
      <c r="J33" s="31">
        <f t="shared" si="6"/>
        <v>114.71659169849693</v>
      </c>
      <c r="K33" s="18">
        <f>K34+K35+K36+K37+K38+K41+K42+K47+K48+K52+K40</f>
        <v>28984.840000000004</v>
      </c>
      <c r="L33" s="18"/>
      <c r="M33" s="18">
        <f>M34+M35+M36+M37+M38+M41+M42+M47+M48+M52+M40+M39</f>
        <v>1694.3000000000002</v>
      </c>
      <c r="N33" s="18">
        <f>N34+N35+N36+N37+N38+N41+N42+N47+N48+N52+N40+N39</f>
        <v>5802.819999999998</v>
      </c>
      <c r="O33" s="49">
        <f t="shared" si="3"/>
        <v>4108.519999999998</v>
      </c>
      <c r="P33" s="31">
        <f>N33/M33*100</f>
        <v>342.49070412559746</v>
      </c>
      <c r="Q33" s="31">
        <f>N33-1017.63</f>
        <v>4785.189999999998</v>
      </c>
      <c r="R33" s="127">
        <f>N33/1017.63</f>
        <v>5.702288651081433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200-100-100</f>
        <v>0</v>
      </c>
      <c r="E34" s="36">
        <f>140-40</f>
        <v>100</v>
      </c>
      <c r="F34" s="143">
        <v>-38.84</v>
      </c>
      <c r="G34" s="43">
        <f t="shared" si="0"/>
        <v>-138.84</v>
      </c>
      <c r="H34" s="35">
        <f t="shared" si="4"/>
        <v>-38.84</v>
      </c>
      <c r="I34" s="50">
        <f t="shared" si="1"/>
        <v>-38.84</v>
      </c>
      <c r="J34" s="50" t="e">
        <f t="shared" si="6"/>
        <v>#DIV/0!</v>
      </c>
      <c r="K34" s="50">
        <f>F34-153.52</f>
        <v>-192.36</v>
      </c>
      <c r="L34" s="50">
        <f>F34/153.52*100</f>
        <v>-25.29963522668056</v>
      </c>
      <c r="M34" s="35">
        <f>E34-жовтень!E34</f>
        <v>0</v>
      </c>
      <c r="N34" s="35">
        <f>F34-жовтень!F34</f>
        <v>18.949999999999996</v>
      </c>
      <c r="O34" s="47">
        <f t="shared" si="3"/>
        <v>18.949999999999996</v>
      </c>
      <c r="P34" s="50" t="e">
        <f>N34/M34*100</f>
        <v>#DIV/0!</v>
      </c>
      <c r="Q34" s="50">
        <f>N34-0</f>
        <v>18.949999999999996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</f>
        <v>8042.570000000001</v>
      </c>
      <c r="E35" s="36">
        <f>7882.47+1</f>
        <v>7883.47</v>
      </c>
      <c r="F35" s="143">
        <v>12874.31</v>
      </c>
      <c r="G35" s="43">
        <f t="shared" si="0"/>
        <v>4990.839999999999</v>
      </c>
      <c r="H35" s="35">
        <f t="shared" si="4"/>
        <v>163.30765513156007</v>
      </c>
      <c r="I35" s="50">
        <f t="shared" si="1"/>
        <v>4831.739999999999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251</v>
      </c>
      <c r="N35" s="35">
        <f>F35-жовтень!F35</f>
        <v>4439.379999999999</v>
      </c>
      <c r="O35" s="47">
        <f t="shared" si="3"/>
        <v>4188.379999999999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365.16</v>
      </c>
      <c r="G36" s="43">
        <f t="shared" si="0"/>
        <v>125.16000000000003</v>
      </c>
      <c r="H36" s="35">
        <f t="shared" si="4"/>
        <v>152.15</v>
      </c>
      <c r="I36" s="50">
        <f t="shared" si="1"/>
        <v>125.16000000000003</v>
      </c>
      <c r="J36" s="50"/>
      <c r="K36" s="50">
        <f>F36-242.79</f>
        <v>122.37000000000003</v>
      </c>
      <c r="L36" s="50">
        <f>F36/242.79*100</f>
        <v>150.4015816137403</v>
      </c>
      <c r="M36" s="35">
        <f>E36-жовтень!E36</f>
        <v>0</v>
      </c>
      <c r="N36" s="35">
        <f>F36-жовтень!F36</f>
        <v>15.350000000000023</v>
      </c>
      <c r="O36" s="47">
        <f t="shared" si="3"/>
        <v>15.350000000000023</v>
      </c>
      <c r="P36" s="50"/>
      <c r="Q36" s="50">
        <f>N36-4.23</f>
        <v>11.120000000000022</v>
      </c>
      <c r="R36" s="126">
        <f>N36/4.23</f>
        <v>3.628841607565017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0</v>
      </c>
      <c r="G37" s="43">
        <f t="shared" si="0"/>
        <v>-4.5</v>
      </c>
      <c r="H37" s="35">
        <f t="shared" si="4"/>
        <v>0</v>
      </c>
      <c r="I37" s="50">
        <f t="shared" si="1"/>
        <v>0</v>
      </c>
      <c r="J37" s="50" t="e">
        <f t="shared" si="6"/>
        <v>#DIV/0!</v>
      </c>
      <c r="K37" s="50">
        <f>F37-5.94</f>
        <v>-5.94</v>
      </c>
      <c r="L37" s="50">
        <f>F37/5.94*100</f>
        <v>0</v>
      </c>
      <c r="M37" s="35">
        <f>E37-жовтень!E37</f>
        <v>0</v>
      </c>
      <c r="N37" s="35">
        <f>F37-жовтень!F37</f>
        <v>0</v>
      </c>
      <c r="O37" s="47">
        <f t="shared" si="3"/>
        <v>0</v>
      </c>
      <c r="P37" s="50" t="e">
        <f>N37/M37*100</f>
        <v>#DIV/0!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261.03</v>
      </c>
      <c r="G38" s="43">
        <f t="shared" si="0"/>
        <v>131.02999999999997</v>
      </c>
      <c r="H38" s="35">
        <f t="shared" si="4"/>
        <v>200.79230769230767</v>
      </c>
      <c r="I38" s="50">
        <f t="shared" si="1"/>
        <v>121.02999999999997</v>
      </c>
      <c r="J38" s="50">
        <f t="shared" si="6"/>
        <v>186.45</v>
      </c>
      <c r="K38" s="50">
        <f>F38-121.56</f>
        <v>139.46999999999997</v>
      </c>
      <c r="L38" s="50">
        <f>F38/121.56*100</f>
        <v>214.7334649555775</v>
      </c>
      <c r="M38" s="35">
        <f>E38-жовтень!E38</f>
        <v>10</v>
      </c>
      <c r="N38" s="35">
        <f>F38-жовтень!F38</f>
        <v>5.159999999999968</v>
      </c>
      <c r="O38" s="47">
        <f t="shared" si="3"/>
        <v>-4.840000000000032</v>
      </c>
      <c r="P38" s="50">
        <f>N38/M38*100</f>
        <v>51.59999999999968</v>
      </c>
      <c r="Q38" s="50">
        <f>N38-9.02</f>
        <v>-3.8600000000000314</v>
      </c>
      <c r="R38" s="126">
        <f>N38/9.02</f>
        <v>0.5720620842572027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8606.24</v>
      </c>
      <c r="G40" s="43">
        <f t="shared" si="0"/>
        <v>-293.7600000000002</v>
      </c>
      <c r="H40" s="35">
        <f aca="true" t="shared" si="7" ref="H40:H46">F40/E40*100</f>
        <v>96.69932584269662</v>
      </c>
      <c r="I40" s="50">
        <f t="shared" si="1"/>
        <v>-393.7600000000002</v>
      </c>
      <c r="J40" s="50"/>
      <c r="K40" s="50">
        <f>F40-0</f>
        <v>8606.24</v>
      </c>
      <c r="L40" s="50"/>
      <c r="M40" s="35">
        <f>E40-жовтень!E40</f>
        <v>63</v>
      </c>
      <c r="N40" s="35">
        <f>F40-жовтень!F40</f>
        <v>222.53999999999905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6408.59</v>
      </c>
      <c r="G42" s="43">
        <f t="shared" si="0"/>
        <v>-403.0100000000002</v>
      </c>
      <c r="H42" s="35">
        <f t="shared" si="7"/>
        <v>94.08347524810617</v>
      </c>
      <c r="I42" s="50">
        <f t="shared" si="1"/>
        <v>-691.4099999999999</v>
      </c>
      <c r="J42" s="50">
        <f t="shared" si="6"/>
        <v>90.2618309859155</v>
      </c>
      <c r="K42" s="50">
        <f>F42-975.44</f>
        <v>5433.15</v>
      </c>
      <c r="L42" s="50">
        <f>F42/975.44*100</f>
        <v>656.9947920938243</v>
      </c>
      <c r="M42" s="35">
        <f>E42-жовтень!E42</f>
        <v>420.3000000000002</v>
      </c>
      <c r="N42" s="35">
        <f>F42-жовтень!F42</f>
        <v>221.03999999999996</v>
      </c>
      <c r="O42" s="47">
        <f t="shared" si="3"/>
        <v>-199.26000000000022</v>
      </c>
      <c r="P42" s="50">
        <f>N42/M42*100</f>
        <v>52.59100642398283</v>
      </c>
      <c r="Q42" s="50">
        <f>N42-79.51</f>
        <v>141.52999999999997</v>
      </c>
      <c r="R42" s="126">
        <f>N42/79.51</f>
        <v>2.780027669475537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969.52</v>
      </c>
      <c r="G43" s="135">
        <f t="shared" si="0"/>
        <v>-40.48000000000002</v>
      </c>
      <c r="H43" s="35">
        <f t="shared" si="7"/>
        <v>95.9920792079208</v>
      </c>
      <c r="I43" s="136">
        <f t="shared" si="1"/>
        <v>-130.48000000000002</v>
      </c>
      <c r="J43" s="136">
        <f t="shared" si="6"/>
        <v>88.13818181818182</v>
      </c>
      <c r="K43" s="136">
        <f>F43-857.86</f>
        <v>111.65999999999997</v>
      </c>
      <c r="L43" s="136">
        <f>F43/857.86*100</f>
        <v>113.01610985475486</v>
      </c>
      <c r="M43" s="137">
        <f>E43-жовтень!E43</f>
        <v>100</v>
      </c>
      <c r="N43" s="137">
        <f>F43-жовтень!F43</f>
        <v>85.75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5394.21</v>
      </c>
      <c r="G46" s="135">
        <f t="shared" si="0"/>
        <v>-325.78999999999996</v>
      </c>
      <c r="H46" s="35">
        <f t="shared" si="7"/>
        <v>94.30437062937062</v>
      </c>
      <c r="I46" s="136">
        <f t="shared" si="1"/>
        <v>-523.79</v>
      </c>
      <c r="J46" s="136">
        <f t="shared" si="6"/>
        <v>91.1492058127746</v>
      </c>
      <c r="K46" s="136">
        <f>F46-117.58</f>
        <v>5276.63</v>
      </c>
      <c r="L46" s="136">
        <f>F46/117.58*100</f>
        <v>4587.693485286613</v>
      </c>
      <c r="M46" s="137">
        <f>E46-жовтень!E46</f>
        <v>310</v>
      </c>
      <c r="N46" s="137">
        <f>F46-жовтень!F46</f>
        <v>135.28999999999996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4204.09</v>
      </c>
      <c r="G48" s="43">
        <f t="shared" si="0"/>
        <v>384.09000000000015</v>
      </c>
      <c r="H48" s="35">
        <f>F48/E48*100</f>
        <v>110.05471204188481</v>
      </c>
      <c r="I48" s="50">
        <f t="shared" si="1"/>
        <v>4.0900000000001455</v>
      </c>
      <c r="J48" s="50">
        <f>F48/D48*100</f>
        <v>100.09738095238096</v>
      </c>
      <c r="K48" s="50">
        <f>F48-3812.69</f>
        <v>391.4000000000001</v>
      </c>
      <c r="L48" s="50">
        <f>F48/3812.69*100</f>
        <v>110.26571790520603</v>
      </c>
      <c r="M48" s="35">
        <f>E48-жовтень!E48</f>
        <v>370</v>
      </c>
      <c r="N48" s="35">
        <f>F48-жовтень!F48</f>
        <v>193.24000000000024</v>
      </c>
      <c r="O48" s="47">
        <f t="shared" si="3"/>
        <v>-176.75999999999976</v>
      </c>
      <c r="P48" s="50">
        <f aca="true" t="shared" si="8" ref="P48:P53">N48/M48*100</f>
        <v>52.2270270270271</v>
      </c>
      <c r="Q48" s="50">
        <f>N48-277.38</f>
        <v>-84.13999999999976</v>
      </c>
      <c r="R48" s="126">
        <f>N48/277.38</f>
        <v>0.6966616194390376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1099.2</v>
      </c>
      <c r="G50" s="135">
        <f t="shared" si="0"/>
        <v>1099.2</v>
      </c>
      <c r="H50" s="137"/>
      <c r="I50" s="136">
        <f t="shared" si="1"/>
        <v>1099.2</v>
      </c>
      <c r="J50" s="136"/>
      <c r="K50" s="138">
        <f>F50-926.78</f>
        <v>172.42000000000007</v>
      </c>
      <c r="L50" s="138">
        <f>F50/926.78*100</f>
        <v>118.60419948639375</v>
      </c>
      <c r="M50" s="137">
        <f>E50-жовтень!E51</f>
        <v>0</v>
      </c>
      <c r="N50" s="137">
        <f>F50-жовтень!F51</f>
        <v>54.90000000000009</v>
      </c>
      <c r="O50" s="138">
        <f t="shared" si="3"/>
        <v>54.90000000000009</v>
      </c>
      <c r="P50" s="136"/>
      <c r="Q50" s="50">
        <f>N50-64.93</f>
        <v>-10.029999999999916</v>
      </c>
      <c r="R50" s="126">
        <f>N50/64.93</f>
        <v>0.8455259510241812</v>
      </c>
    </row>
    <row r="51" spans="1:18" s="6" customFormat="1" ht="15.75">
      <c r="A51" s="8"/>
      <c r="B51" s="14" t="s">
        <v>100</v>
      </c>
      <c r="C51" s="228" t="s">
        <v>101</v>
      </c>
      <c r="D51" s="43">
        <v>0</v>
      </c>
      <c r="E51" s="43">
        <v>0</v>
      </c>
      <c r="F51" s="144"/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</v>
      </c>
      <c r="G54" s="43">
        <f t="shared" si="0"/>
        <v>0.5</v>
      </c>
      <c r="H54" s="35"/>
      <c r="I54" s="50">
        <f t="shared" si="1"/>
        <v>0.5</v>
      </c>
      <c r="J54" s="50"/>
      <c r="K54" s="50">
        <f>F54-0.37</f>
        <v>0.13</v>
      </c>
      <c r="L54" s="50"/>
      <c r="M54" s="35">
        <f>E54-жовтень!E54</f>
        <v>0</v>
      </c>
      <c r="N54" s="35">
        <f>F54-жовтень!F54</f>
        <v>0.19</v>
      </c>
      <c r="O54" s="47">
        <f t="shared" si="3"/>
        <v>0.19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603392.9000000001</v>
      </c>
      <c r="G55" s="44">
        <f>F55-E55</f>
        <v>28480.96000000008</v>
      </c>
      <c r="H55" s="45">
        <f>F55/E55*100</f>
        <v>104.95396912438453</v>
      </c>
      <c r="I55" s="31">
        <f>F55-D55</f>
        <v>-4562.169999999809</v>
      </c>
      <c r="J55" s="31">
        <f>F55/D55*100</f>
        <v>99.24958763811283</v>
      </c>
      <c r="K55" s="31">
        <f>K8+K33+K53+K54</f>
        <v>145445.06600000005</v>
      </c>
      <c r="L55" s="31">
        <f>F55/(F55-K55)*100</f>
        <v>131.76018209969305</v>
      </c>
      <c r="M55" s="18">
        <f>M8+M33+M53+M54</f>
        <v>38814.600000000006</v>
      </c>
      <c r="N55" s="18">
        <f>N8+N33+N53+N54</f>
        <v>25703.760000000028</v>
      </c>
      <c r="O55" s="49">
        <f>N55-M55</f>
        <v>-13110.839999999978</v>
      </c>
      <c r="P55" s="31">
        <f>N55/M55*100</f>
        <v>66.2218855791378</v>
      </c>
      <c r="Q55" s="31">
        <f>N55-34768</f>
        <v>-9064.239999999972</v>
      </c>
      <c r="R55" s="171">
        <f>N55/34768</f>
        <v>0.7392936033133924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593.14</v>
      </c>
      <c r="G64" s="43">
        <f t="shared" si="9"/>
        <v>-1906.8600000000001</v>
      </c>
      <c r="H64" s="35"/>
      <c r="I64" s="53">
        <f t="shared" si="10"/>
        <v>-1906.8600000000001</v>
      </c>
      <c r="J64" s="53">
        <f t="shared" si="12"/>
        <v>23.7256</v>
      </c>
      <c r="K64" s="53">
        <f>F64-1921.61</f>
        <v>-1328.4699999999998</v>
      </c>
      <c r="L64" s="53">
        <f>F64/1921.61*100</f>
        <v>30.866825214273447</v>
      </c>
      <c r="M64" s="35">
        <f>E64-жовтень!E64</f>
        <v>900</v>
      </c>
      <c r="N64" s="35">
        <f>F64-жовтень!F64</f>
        <v>0.009999999999990905</v>
      </c>
      <c r="O64" s="47">
        <f t="shared" si="11"/>
        <v>-899.99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8098.53</v>
      </c>
      <c r="G65" s="43">
        <f t="shared" si="9"/>
        <v>337.8000000000002</v>
      </c>
      <c r="H65" s="35">
        <f>F65/E65*100</f>
        <v>104.35268331716219</v>
      </c>
      <c r="I65" s="53">
        <f t="shared" si="10"/>
        <v>-3477.4700000000003</v>
      </c>
      <c r="J65" s="53">
        <f t="shared" si="12"/>
        <v>69.95965791292329</v>
      </c>
      <c r="K65" s="53">
        <f>F65-3828.89</f>
        <v>4269.639999999999</v>
      </c>
      <c r="L65" s="53">
        <f>F65/3828.89*100</f>
        <v>211.511169033323</v>
      </c>
      <c r="M65" s="35">
        <f>E65-жовтень!E65</f>
        <v>1024.75</v>
      </c>
      <c r="N65" s="35">
        <f>F65-жовтень!F65</f>
        <v>886.4499999999998</v>
      </c>
      <c r="O65" s="47">
        <f t="shared" si="11"/>
        <v>-138.30000000000018</v>
      </c>
      <c r="P65" s="53">
        <f>N65/M65*100</f>
        <v>86.50402537204195</v>
      </c>
      <c r="Q65" s="53">
        <f>N65-450.01</f>
        <v>436.4399999999998</v>
      </c>
      <c r="R65" s="129">
        <f>N65/450.01</f>
        <v>1.9698451145530096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10954.75</v>
      </c>
      <c r="G67" s="55">
        <f t="shared" si="9"/>
        <v>-786.9799999999996</v>
      </c>
      <c r="H67" s="65">
        <f>F67/E67*100</f>
        <v>93.29758050985673</v>
      </c>
      <c r="I67" s="54">
        <f t="shared" si="10"/>
        <v>-6121.25</v>
      </c>
      <c r="J67" s="54">
        <f t="shared" si="12"/>
        <v>64.15290466151323</v>
      </c>
      <c r="K67" s="54">
        <f>K64+K65+K66</f>
        <v>3191.7</v>
      </c>
      <c r="L67" s="54"/>
      <c r="M67" s="55">
        <f>M64+M65+M66</f>
        <v>2072.85</v>
      </c>
      <c r="N67" s="55">
        <f>N64+N65+N66</f>
        <v>1086.11</v>
      </c>
      <c r="O67" s="54">
        <f t="shared" si="11"/>
        <v>-986.74</v>
      </c>
      <c r="P67" s="54">
        <f>N67/M67*100</f>
        <v>52.39694140917095</v>
      </c>
      <c r="Q67" s="54">
        <f>N67-7985.28</f>
        <v>-6899.17</v>
      </c>
      <c r="R67" s="173">
        <f>N67/7985.28</f>
        <v>0.13601401578905184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10931.95</v>
      </c>
      <c r="G74" s="44">
        <f>F74-E74</f>
        <v>-893.1999999999989</v>
      </c>
      <c r="H74" s="45">
        <f>F74/E74*100</f>
        <v>92.44660744261172</v>
      </c>
      <c r="I74" s="31">
        <f>F74-D74</f>
        <v>-6240.049999999999</v>
      </c>
      <c r="J74" s="31">
        <f>F74/D74*100</f>
        <v>63.66148381085488</v>
      </c>
      <c r="K74" s="31">
        <f>K62+K67+K71+K72</f>
        <v>2793.88</v>
      </c>
      <c r="L74" s="31"/>
      <c r="M74" s="27">
        <f>M62+M72+M67+M71</f>
        <v>2073.85</v>
      </c>
      <c r="N74" s="27">
        <f>N62+N72+N67+N71+N73</f>
        <v>1086.35</v>
      </c>
      <c r="O74" s="31">
        <f>N74-M74</f>
        <v>-987.5</v>
      </c>
      <c r="P74" s="31">
        <f>N74/M74*100</f>
        <v>52.38324854738771</v>
      </c>
      <c r="Q74" s="31">
        <f>N74-8104.96</f>
        <v>-7018.610000000001</v>
      </c>
      <c r="R74" s="127">
        <f>N74/8104.96</f>
        <v>0.13403520807012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614324.8500000001</v>
      </c>
      <c r="G75" s="44">
        <f>F75-E75</f>
        <v>27587.76000000001</v>
      </c>
      <c r="H75" s="45">
        <f>F75/E75*100</f>
        <v>104.70189467654075</v>
      </c>
      <c r="I75" s="31">
        <f>F75-D75</f>
        <v>-10802.219999999856</v>
      </c>
      <c r="J75" s="31">
        <f>F75/D75*100</f>
        <v>98.27199612392408</v>
      </c>
      <c r="K75" s="31">
        <f>K55+K74</f>
        <v>148238.94600000005</v>
      </c>
      <c r="L75" s="31">
        <f>F75/(F75-K75)*100</f>
        <v>131.80506956503024</v>
      </c>
      <c r="M75" s="18">
        <f>M55+M74</f>
        <v>40888.450000000004</v>
      </c>
      <c r="N75" s="18">
        <f>N55+N74</f>
        <v>26790.110000000026</v>
      </c>
      <c r="O75" s="31">
        <f>N75-M75</f>
        <v>-14098.339999999978</v>
      </c>
      <c r="P75" s="31">
        <f>N75/M75*100</f>
        <v>65.5199940325447</v>
      </c>
      <c r="Q75" s="31">
        <f>N75-42872.96</f>
        <v>-16082.849999999973</v>
      </c>
      <c r="R75" s="127">
        <f>N75/42872.96</f>
        <v>0.6248719472599985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14</v>
      </c>
      <c r="D77" s="4" t="s">
        <v>118</v>
      </c>
    </row>
    <row r="78" spans="2:17" ht="31.5">
      <c r="B78" s="71" t="s">
        <v>154</v>
      </c>
      <c r="C78" s="34">
        <f>IF(O55&lt;0,ABS(O55/C77),0)</f>
        <v>936.4885714285699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42318</v>
      </c>
      <c r="D79" s="34">
        <v>2398.9</v>
      </c>
      <c r="G79" s="4" t="s">
        <v>166</v>
      </c>
      <c r="N79" s="253"/>
      <c r="O79" s="253"/>
    </row>
    <row r="80" spans="3:15" ht="15.75">
      <c r="C80" s="111">
        <v>42317</v>
      </c>
      <c r="D80" s="34">
        <v>2144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42314</v>
      </c>
      <c r="D81" s="34">
        <v>6840.7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796.99119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 t="s">
        <v>205</v>
      </c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221</v>
      </c>
      <c r="N3" s="242" t="s">
        <v>202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199</v>
      </c>
      <c r="F4" s="244" t="s">
        <v>116</v>
      </c>
      <c r="G4" s="246" t="s">
        <v>200</v>
      </c>
      <c r="H4" s="248" t="s">
        <v>201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226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224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3"/>
      <c r="O105" s="253"/>
    </row>
    <row r="106" spans="3:15" ht="15.75">
      <c r="C106" s="111">
        <v>42061</v>
      </c>
      <c r="D106" s="34">
        <v>6003.3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42060</v>
      </c>
      <c r="D107" s="34">
        <v>1551.3</v>
      </c>
      <c r="G107" s="266" t="s">
        <v>151</v>
      </c>
      <c r="H107" s="266"/>
      <c r="I107" s="106"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74" t="s">
        <v>155</v>
      </c>
      <c r="H108" s="274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138305956.27/1000</f>
        <v>138305.95627000002</v>
      </c>
      <c r="E109" s="73"/>
      <c r="F109" s="156" t="s">
        <v>147</v>
      </c>
      <c r="G109" s="266" t="s">
        <v>149</v>
      </c>
      <c r="H109" s="266"/>
      <c r="I109" s="107">
        <v>129396.23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 t="s">
        <v>205</v>
      </c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220</v>
      </c>
      <c r="N3" s="242" t="s">
        <v>175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219</v>
      </c>
      <c r="F4" s="244" t="s">
        <v>116</v>
      </c>
      <c r="G4" s="246" t="s">
        <v>173</v>
      </c>
      <c r="H4" s="281" t="s">
        <v>174</v>
      </c>
      <c r="I4" s="279" t="s">
        <v>217</v>
      </c>
      <c r="J4" s="277" t="s">
        <v>218</v>
      </c>
      <c r="K4" s="116" t="s">
        <v>172</v>
      </c>
      <c r="L4" s="121" t="s">
        <v>171</v>
      </c>
      <c r="M4" s="240"/>
      <c r="N4" s="256" t="s">
        <v>194</v>
      </c>
      <c r="O4" s="279" t="s">
        <v>136</v>
      </c>
      <c r="P4" s="242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82"/>
      <c r="I5" s="280"/>
      <c r="J5" s="278"/>
      <c r="K5" s="227" t="s">
        <v>188</v>
      </c>
      <c r="L5" s="243"/>
      <c r="M5" s="241"/>
      <c r="N5" s="257"/>
      <c r="O5" s="280"/>
      <c r="P5" s="242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2"/>
      <c r="H102" s="252"/>
      <c r="I102" s="252"/>
      <c r="J102" s="25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3"/>
      <c r="O103" s="253"/>
    </row>
    <row r="104" spans="3:15" ht="15.75">
      <c r="C104" s="111">
        <v>42033</v>
      </c>
      <c r="D104" s="34">
        <v>2896.5</v>
      </c>
      <c r="F104" s="155" t="s">
        <v>166</v>
      </c>
      <c r="G104" s="266" t="s">
        <v>151</v>
      </c>
      <c r="H104" s="266"/>
      <c r="I104" s="106">
        <f>'січень '!I139</f>
        <v>8909.733</v>
      </c>
      <c r="J104" s="275" t="s">
        <v>161</v>
      </c>
      <c r="K104" s="275"/>
      <c r="L104" s="275"/>
      <c r="M104" s="275"/>
      <c r="N104" s="253"/>
      <c r="O104" s="253"/>
    </row>
    <row r="105" spans="3:15" ht="15.75">
      <c r="C105" s="111">
        <v>42032</v>
      </c>
      <c r="D105" s="34">
        <v>2838.1</v>
      </c>
      <c r="G105" s="274" t="s">
        <v>155</v>
      </c>
      <c r="H105" s="274"/>
      <c r="I105" s="103">
        <f>'січень '!I140</f>
        <v>0</v>
      </c>
      <c r="J105" s="276" t="s">
        <v>162</v>
      </c>
      <c r="K105" s="276"/>
      <c r="L105" s="276"/>
      <c r="M105" s="276"/>
      <c r="N105" s="253"/>
      <c r="O105" s="253"/>
    </row>
    <row r="106" spans="7:13" ht="15.75" customHeight="1">
      <c r="G106" s="266" t="s">
        <v>148</v>
      </c>
      <c r="H106" s="266"/>
      <c r="I106" s="103">
        <f>'січень '!I141</f>
        <v>0</v>
      </c>
      <c r="J106" s="275" t="s">
        <v>163</v>
      </c>
      <c r="K106" s="275"/>
      <c r="L106" s="275"/>
      <c r="M106" s="275"/>
    </row>
    <row r="107" spans="2:13" ht="18.75" customHeight="1">
      <c r="B107" s="261" t="s">
        <v>160</v>
      </c>
      <c r="C107" s="262"/>
      <c r="D107" s="108">
        <f>'січень '!D142</f>
        <v>132375.63</v>
      </c>
      <c r="E107" s="73"/>
      <c r="F107" s="156" t="s">
        <v>147</v>
      </c>
      <c r="G107" s="266" t="s">
        <v>149</v>
      </c>
      <c r="H107" s="266"/>
      <c r="I107" s="107">
        <f>'січень '!I142</f>
        <v>123465.893</v>
      </c>
      <c r="J107" s="275" t="s">
        <v>164</v>
      </c>
      <c r="K107" s="275"/>
      <c r="L107" s="275"/>
      <c r="M107" s="275"/>
    </row>
    <row r="108" spans="7:12" ht="9.75" customHeight="1">
      <c r="G108" s="254"/>
      <c r="H108" s="254"/>
      <c r="I108" s="90"/>
      <c r="J108" s="91"/>
      <c r="K108" s="91"/>
      <c r="L108" s="91"/>
    </row>
    <row r="109" spans="2:12" ht="22.5" customHeight="1" hidden="1">
      <c r="B109" s="263" t="s">
        <v>167</v>
      </c>
      <c r="C109" s="264"/>
      <c r="D109" s="110">
        <v>0</v>
      </c>
      <c r="E109" s="70" t="s">
        <v>104</v>
      </c>
      <c r="G109" s="254"/>
      <c r="H109" s="254"/>
      <c r="I109" s="90"/>
      <c r="J109" s="91"/>
      <c r="K109" s="91"/>
      <c r="L109" s="91"/>
    </row>
    <row r="110" spans="4:15" ht="15.75">
      <c r="D110" s="105"/>
      <c r="N110" s="254"/>
      <c r="O110" s="254"/>
    </row>
    <row r="111" spans="4:15" ht="15.75">
      <c r="D111" s="104"/>
      <c r="I111" s="34"/>
      <c r="N111" s="265"/>
      <c r="O111" s="265"/>
    </row>
    <row r="112" spans="14:15" ht="15.75">
      <c r="N112" s="254"/>
      <c r="O112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 t="s">
        <v>203</v>
      </c>
      <c r="C3" s="234" t="s">
        <v>0</v>
      </c>
      <c r="D3" s="235" t="s">
        <v>190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187</v>
      </c>
      <c r="N3" s="242" t="s">
        <v>175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153</v>
      </c>
      <c r="F4" s="244" t="s">
        <v>116</v>
      </c>
      <c r="G4" s="246" t="s">
        <v>173</v>
      </c>
      <c r="H4" s="281" t="s">
        <v>174</v>
      </c>
      <c r="I4" s="279" t="s">
        <v>186</v>
      </c>
      <c r="J4" s="277" t="s">
        <v>189</v>
      </c>
      <c r="K4" s="116" t="s">
        <v>172</v>
      </c>
      <c r="L4" s="121" t="s">
        <v>171</v>
      </c>
      <c r="M4" s="240"/>
      <c r="N4" s="256" t="s">
        <v>194</v>
      </c>
      <c r="O4" s="279" t="s">
        <v>136</v>
      </c>
      <c r="P4" s="242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82"/>
      <c r="I5" s="280"/>
      <c r="J5" s="278"/>
      <c r="K5" s="227" t="s">
        <v>188</v>
      </c>
      <c r="L5" s="243"/>
      <c r="M5" s="241"/>
      <c r="N5" s="257"/>
      <c r="O5" s="280"/>
      <c r="P5" s="242"/>
      <c r="Q5" s="227" t="s">
        <v>176</v>
      </c>
      <c r="R5" s="24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2"/>
      <c r="H137" s="252"/>
      <c r="I137" s="252"/>
      <c r="J137" s="25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3"/>
      <c r="O138" s="253"/>
    </row>
    <row r="139" spans="3:15" ht="15.75">
      <c r="C139" s="111">
        <v>42033</v>
      </c>
      <c r="D139" s="34">
        <v>2896.5</v>
      </c>
      <c r="F139" s="155" t="s">
        <v>166</v>
      </c>
      <c r="G139" s="266" t="s">
        <v>151</v>
      </c>
      <c r="H139" s="266"/>
      <c r="I139" s="106">
        <f>8909.733</f>
        <v>8909.733</v>
      </c>
      <c r="J139" s="275" t="s">
        <v>161</v>
      </c>
      <c r="K139" s="275"/>
      <c r="L139" s="275"/>
      <c r="M139" s="275"/>
      <c r="N139" s="253"/>
      <c r="O139" s="253"/>
    </row>
    <row r="140" spans="3:15" ht="15.75">
      <c r="C140" s="111">
        <v>42032</v>
      </c>
      <c r="D140" s="34">
        <v>2838.1</v>
      </c>
      <c r="G140" s="274" t="s">
        <v>155</v>
      </c>
      <c r="H140" s="274"/>
      <c r="I140" s="103">
        <v>0</v>
      </c>
      <c r="J140" s="276" t="s">
        <v>162</v>
      </c>
      <c r="K140" s="276"/>
      <c r="L140" s="276"/>
      <c r="M140" s="276"/>
      <c r="N140" s="253"/>
      <c r="O140" s="253"/>
    </row>
    <row r="141" spans="7:13" ht="15.75" customHeight="1">
      <c r="G141" s="266" t="s">
        <v>148</v>
      </c>
      <c r="H141" s="266"/>
      <c r="I141" s="103">
        <v>0</v>
      </c>
      <c r="J141" s="275" t="s">
        <v>163</v>
      </c>
      <c r="K141" s="275"/>
      <c r="L141" s="275"/>
      <c r="M141" s="275"/>
    </row>
    <row r="142" spans="2:13" ht="18.75" customHeight="1">
      <c r="B142" s="261" t="s">
        <v>160</v>
      </c>
      <c r="C142" s="262"/>
      <c r="D142" s="108">
        <f>132375.63</f>
        <v>132375.63</v>
      </c>
      <c r="E142" s="73"/>
      <c r="F142" s="156" t="s">
        <v>147</v>
      </c>
      <c r="G142" s="266" t="s">
        <v>149</v>
      </c>
      <c r="H142" s="266"/>
      <c r="I142" s="107">
        <f>123465.893</f>
        <v>123465.893</v>
      </c>
      <c r="J142" s="275" t="s">
        <v>164</v>
      </c>
      <c r="K142" s="275"/>
      <c r="L142" s="275"/>
      <c r="M142" s="275"/>
    </row>
    <row r="143" spans="7:12" ht="9.75" customHeight="1">
      <c r="G143" s="254"/>
      <c r="H143" s="254"/>
      <c r="I143" s="90"/>
      <c r="J143" s="91"/>
      <c r="K143" s="91"/>
      <c r="L143" s="91"/>
    </row>
    <row r="144" spans="2:12" ht="22.5" customHeight="1" hidden="1">
      <c r="B144" s="263" t="s">
        <v>167</v>
      </c>
      <c r="C144" s="264"/>
      <c r="D144" s="110">
        <v>0</v>
      </c>
      <c r="E144" s="70" t="s">
        <v>104</v>
      </c>
      <c r="G144" s="254"/>
      <c r="H144" s="254"/>
      <c r="I144" s="90"/>
      <c r="J144" s="91"/>
      <c r="K144" s="91"/>
      <c r="L144" s="91"/>
    </row>
    <row r="145" spans="4:15" ht="15.75">
      <c r="D145" s="105"/>
      <c r="N145" s="254"/>
      <c r="O145" s="254"/>
    </row>
    <row r="146" spans="4:15" ht="15.75">
      <c r="D146" s="104"/>
      <c r="I146" s="34"/>
      <c r="N146" s="265"/>
      <c r="O146" s="265"/>
    </row>
    <row r="147" spans="14:15" ht="15.75">
      <c r="N147" s="254"/>
      <c r="O147" s="2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6" sqref="K2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313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311</v>
      </c>
      <c r="N3" s="242" t="s">
        <v>312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307</v>
      </c>
      <c r="F4" s="244" t="s">
        <v>116</v>
      </c>
      <c r="G4" s="246" t="s">
        <v>308</v>
      </c>
      <c r="H4" s="248" t="s">
        <v>309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314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310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3"/>
      <c r="O79" s="253"/>
    </row>
    <row r="80" spans="3:15" ht="15.75">
      <c r="C80" s="111">
        <v>42306</v>
      </c>
      <c r="D80" s="34">
        <v>6844.5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42305</v>
      </c>
      <c r="D81" s="34">
        <v>4690.4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257.30632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303</v>
      </c>
      <c r="N3" s="242" t="s">
        <v>304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298</v>
      </c>
      <c r="F4" s="244" t="s">
        <v>116</v>
      </c>
      <c r="G4" s="246" t="s">
        <v>299</v>
      </c>
      <c r="H4" s="248" t="s">
        <v>300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306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302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3"/>
      <c r="O79" s="253"/>
    </row>
    <row r="80" spans="3:15" ht="15.75">
      <c r="C80" s="111">
        <v>42276</v>
      </c>
      <c r="D80" s="34">
        <v>6511.1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42275</v>
      </c>
      <c r="D81" s="34">
        <v>4229.6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f>1507100.82/1000</f>
        <v>1507.10082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293</v>
      </c>
      <c r="N3" s="242" t="s">
        <v>294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291</v>
      </c>
      <c r="F4" s="244" t="s">
        <v>116</v>
      </c>
      <c r="G4" s="246" t="s">
        <v>292</v>
      </c>
      <c r="H4" s="248" t="s">
        <v>301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297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295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3"/>
      <c r="O79" s="253"/>
    </row>
    <row r="80" spans="3:15" ht="15.75">
      <c r="C80" s="111">
        <v>42244</v>
      </c>
      <c r="D80" s="34">
        <v>8323.9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42243</v>
      </c>
      <c r="D81" s="34">
        <v>4177.3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2162.07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285</v>
      </c>
      <c r="N3" s="242" t="s">
        <v>286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282</v>
      </c>
      <c r="F4" s="244" t="s">
        <v>116</v>
      </c>
      <c r="G4" s="246" t="s">
        <v>283</v>
      </c>
      <c r="H4" s="248" t="s">
        <v>284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290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287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3"/>
      <c r="O79" s="253"/>
    </row>
    <row r="80" spans="3:15" ht="15.75">
      <c r="C80" s="111">
        <v>42215</v>
      </c>
      <c r="D80" s="34">
        <v>7239.9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42214</v>
      </c>
      <c r="D81" s="34">
        <v>4823.1</v>
      </c>
      <c r="G81" s="266" t="s">
        <v>151</v>
      </c>
      <c r="H81" s="266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67" t="s">
        <v>234</v>
      </c>
      <c r="H82" s="268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24842.96012</v>
      </c>
      <c r="E83" s="73"/>
      <c r="F83" s="156" t="s">
        <v>147</v>
      </c>
      <c r="G83" s="266" t="s">
        <v>149</v>
      </c>
      <c r="H83" s="266"/>
      <c r="I83" s="107">
        <v>15933.22791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9" t="s">
        <v>280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17"/>
      <c r="R1" s="118"/>
    </row>
    <row r="2" spans="2:18" s="1" customFormat="1" ht="15.75" customHeight="1">
      <c r="B2" s="230"/>
      <c r="C2" s="230"/>
      <c r="D2" s="230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277</v>
      </c>
      <c r="N3" s="242" t="s">
        <v>278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279</v>
      </c>
      <c r="F4" s="270" t="s">
        <v>116</v>
      </c>
      <c r="G4" s="246" t="s">
        <v>275</v>
      </c>
      <c r="H4" s="248" t="s">
        <v>276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281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71"/>
      <c r="G5" s="247"/>
      <c r="H5" s="249"/>
      <c r="I5" s="251"/>
      <c r="J5" s="241"/>
      <c r="K5" s="227" t="s">
        <v>288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3"/>
      <c r="O79" s="253"/>
    </row>
    <row r="80" spans="3:15" ht="15.75">
      <c r="C80" s="111">
        <v>42181</v>
      </c>
      <c r="D80" s="34">
        <v>8722.4</v>
      </c>
      <c r="F80" s="217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42180</v>
      </c>
      <c r="D81" s="34">
        <v>4146.6</v>
      </c>
      <c r="G81" s="266" t="s">
        <v>151</v>
      </c>
      <c r="H81" s="266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67" t="s">
        <v>234</v>
      </c>
      <c r="H82" s="268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152943.93305000002</v>
      </c>
      <c r="E83" s="73"/>
      <c r="F83" s="218" t="s">
        <v>147</v>
      </c>
      <c r="G83" s="266" t="s">
        <v>149</v>
      </c>
      <c r="H83" s="266"/>
      <c r="I83" s="107">
        <v>144034.20084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266</v>
      </c>
      <c r="N3" s="242" t="s">
        <v>267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262</v>
      </c>
      <c r="F4" s="244" t="s">
        <v>116</v>
      </c>
      <c r="G4" s="246" t="s">
        <v>263</v>
      </c>
      <c r="H4" s="248" t="s">
        <v>264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273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265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3"/>
      <c r="O79" s="253"/>
    </row>
    <row r="80" spans="3:15" ht="15.75">
      <c r="C80" s="111">
        <v>42152</v>
      </c>
      <c r="D80" s="34">
        <v>5845.4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42151</v>
      </c>
      <c r="D81" s="34">
        <v>3158.7</v>
      </c>
      <c r="G81" s="266" t="s">
        <v>151</v>
      </c>
      <c r="H81" s="266"/>
      <c r="I81" s="106">
        <v>8909.73221</v>
      </c>
      <c r="J81" s="259"/>
      <c r="K81" s="259"/>
      <c r="L81" s="259"/>
      <c r="M81" s="259"/>
      <c r="N81" s="253"/>
      <c r="O81" s="253"/>
    </row>
    <row r="82" spans="7:13" ht="15.75" customHeight="1">
      <c r="G82" s="267" t="s">
        <v>234</v>
      </c>
      <c r="H82" s="268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153606.78</v>
      </c>
      <c r="E83" s="73"/>
      <c r="F83" s="156" t="s">
        <v>147</v>
      </c>
      <c r="G83" s="266" t="s">
        <v>149</v>
      </c>
      <c r="H83" s="266"/>
      <c r="I83" s="107">
        <v>144697.05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240</v>
      </c>
      <c r="N3" s="242" t="s">
        <v>241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237</v>
      </c>
      <c r="F4" s="272" t="s">
        <v>116</v>
      </c>
      <c r="G4" s="246" t="s">
        <v>238</v>
      </c>
      <c r="H4" s="248" t="s">
        <v>239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260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73"/>
      <c r="G5" s="247"/>
      <c r="H5" s="249"/>
      <c r="I5" s="251"/>
      <c r="J5" s="241"/>
      <c r="K5" s="227" t="s">
        <v>242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2"/>
      <c r="H103" s="252"/>
      <c r="I103" s="252"/>
      <c r="J103" s="252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3"/>
      <c r="O104" s="253"/>
    </row>
    <row r="105" spans="3:15" ht="15.75">
      <c r="C105" s="111">
        <v>42123</v>
      </c>
      <c r="D105" s="34">
        <v>7959.6</v>
      </c>
      <c r="F105" s="201" t="s">
        <v>166</v>
      </c>
      <c r="G105" s="254"/>
      <c r="H105" s="254"/>
      <c r="I105" s="177"/>
      <c r="J105" s="255"/>
      <c r="K105" s="255"/>
      <c r="L105" s="255"/>
      <c r="M105" s="255"/>
      <c r="N105" s="253"/>
      <c r="O105" s="253"/>
    </row>
    <row r="106" spans="3:15" ht="15.75" customHeight="1">
      <c r="C106" s="111">
        <v>42122</v>
      </c>
      <c r="D106" s="34">
        <v>4962.7</v>
      </c>
      <c r="G106" s="266" t="s">
        <v>151</v>
      </c>
      <c r="H106" s="266"/>
      <c r="I106" s="106">
        <v>8909.73221</v>
      </c>
      <c r="J106" s="259"/>
      <c r="K106" s="259"/>
      <c r="L106" s="259"/>
      <c r="M106" s="259"/>
      <c r="N106" s="253"/>
      <c r="O106" s="253"/>
    </row>
    <row r="107" spans="7:13" ht="15.75" customHeight="1">
      <c r="G107" s="267" t="s">
        <v>234</v>
      </c>
      <c r="H107" s="268"/>
      <c r="I107" s="103">
        <v>0</v>
      </c>
      <c r="J107" s="255"/>
      <c r="K107" s="255"/>
      <c r="L107" s="255"/>
      <c r="M107" s="255"/>
    </row>
    <row r="108" spans="2:13" ht="18.75" customHeight="1">
      <c r="B108" s="261" t="s">
        <v>160</v>
      </c>
      <c r="C108" s="262"/>
      <c r="D108" s="108">
        <v>154856.06924</v>
      </c>
      <c r="E108" s="73"/>
      <c r="F108" s="202" t="s">
        <v>147</v>
      </c>
      <c r="G108" s="266" t="s">
        <v>149</v>
      </c>
      <c r="H108" s="266"/>
      <c r="I108" s="107">
        <v>145946.33703</v>
      </c>
      <c r="J108" s="255"/>
      <c r="K108" s="255"/>
      <c r="L108" s="255"/>
      <c r="M108" s="255"/>
    </row>
    <row r="109" spans="7:12" ht="9.75" customHeight="1">
      <c r="G109" s="254"/>
      <c r="H109" s="254"/>
      <c r="I109" s="90"/>
      <c r="J109" s="91"/>
      <c r="K109" s="91"/>
      <c r="L109" s="91"/>
    </row>
    <row r="110" spans="2:12" ht="22.5" customHeight="1" hidden="1">
      <c r="B110" s="263" t="s">
        <v>167</v>
      </c>
      <c r="C110" s="264"/>
      <c r="D110" s="110">
        <v>0</v>
      </c>
      <c r="E110" s="70" t="s">
        <v>104</v>
      </c>
      <c r="G110" s="254"/>
      <c r="H110" s="254"/>
      <c r="I110" s="90"/>
      <c r="J110" s="91"/>
      <c r="K110" s="91"/>
      <c r="L110" s="91"/>
    </row>
    <row r="111" spans="4:15" ht="15.75">
      <c r="D111" s="105"/>
      <c r="N111" s="254"/>
      <c r="O111" s="254"/>
    </row>
    <row r="112" spans="4:15" ht="15.75">
      <c r="D112" s="104"/>
      <c r="I112" s="34"/>
      <c r="N112" s="265"/>
      <c r="O112" s="265"/>
    </row>
    <row r="113" spans="14:15" ht="15.75">
      <c r="N113" s="254"/>
      <c r="O113" s="254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231</v>
      </c>
      <c r="N3" s="242" t="s">
        <v>232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228</v>
      </c>
      <c r="F4" s="244" t="s">
        <v>116</v>
      </c>
      <c r="G4" s="246" t="s">
        <v>229</v>
      </c>
      <c r="H4" s="248" t="s">
        <v>230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236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233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3"/>
      <c r="O105" s="253"/>
    </row>
    <row r="106" spans="3:15" ht="15.75">
      <c r="C106" s="111">
        <v>42093</v>
      </c>
      <c r="D106" s="34">
        <v>8025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42090</v>
      </c>
      <c r="D107" s="34">
        <v>4282.6</v>
      </c>
      <c r="G107" s="266" t="s">
        <v>151</v>
      </c>
      <c r="H107" s="266"/>
      <c r="I107" s="106">
        <f>8909732.21/1000</f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67" t="s">
        <v>234</v>
      </c>
      <c r="H108" s="268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147433239.77/1000</f>
        <v>147433.23977000001</v>
      </c>
      <c r="E109" s="73"/>
      <c r="F109" s="156" t="s">
        <v>147</v>
      </c>
      <c r="G109" s="266" t="s">
        <v>149</v>
      </c>
      <c r="H109" s="266"/>
      <c r="I109" s="107">
        <f>138523507.56/1000</f>
        <v>138523.50756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2015-11-11T09:52:40Z</cp:lastPrinted>
  <dcterms:created xsi:type="dcterms:W3CDTF">2003-07-28T11:27:56Z</dcterms:created>
  <dcterms:modified xsi:type="dcterms:W3CDTF">2015-11-11T10:06:02Z</dcterms:modified>
  <cp:category/>
  <cp:version/>
  <cp:contentType/>
  <cp:contentStatus/>
</cp:coreProperties>
</file>